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330" windowHeight="6735" activeTab="0"/>
  </bookViews>
  <sheets>
    <sheet name="B55 W&amp;B" sheetId="1" r:id="rId1"/>
    <sheet name="Calculator" sheetId="2" r:id="rId2"/>
  </sheets>
  <definedNames>
    <definedName name="Calibrated_AirSpeed">'Calculator'!$F$22</definedName>
    <definedName name="Density_Altitude">'Calculator'!$F$21</definedName>
    <definedName name="Outside_Air_Temp__C">'Calculator'!$F$19</definedName>
    <definedName name="Outside_Air_Temp__F">'Calculator'!$F$18</definedName>
    <definedName name="Pressure_Altitude">'Calculator'!$F$17</definedName>
    <definedName name="_xlnm.Print_Area" localSheetId="0">'B55 W&amp;B'!$A$1:$G$39</definedName>
    <definedName name="Standard_Temp__C">'Calculator'!$F$20</definedName>
    <definedName name="Temp_Lapse_rate">'Calculator'!$F$16</definedName>
    <definedName name="True_AirSpeed">'Calculator'!$F$23</definedName>
  </definedNames>
  <calcPr fullCalcOnLoad="1"/>
</workbook>
</file>

<file path=xl/sharedStrings.xml><?xml version="1.0" encoding="utf-8"?>
<sst xmlns="http://schemas.openxmlformats.org/spreadsheetml/2006/main" count="193" uniqueCount="152">
  <si>
    <t>WEIGHT AND BALANCE WORKSHEET</t>
  </si>
  <si>
    <t>ARM</t>
  </si>
  <si>
    <t>MOMENT</t>
  </si>
  <si>
    <t>RANGE</t>
  </si>
  <si>
    <t>WEIGHT</t>
  </si>
  <si>
    <t>/100</t>
  </si>
  <si>
    <t>BASIC EMPTY WEIGHT</t>
  </si>
  <si>
    <t>-----</t>
  </si>
  <si>
    <t>FRONT SEAT OCCUPANTS</t>
  </si>
  <si>
    <t>85 - 89</t>
  </si>
  <si>
    <t>3rd AND 4th SEAT OCCUPANTS</t>
  </si>
  <si>
    <t>121 - 136</t>
  </si>
  <si>
    <t>5th AND 6th SEAT OCCUPANTS</t>
  </si>
  <si>
    <t>NOSE BAGGAGE COMPARTMENT</t>
  </si>
  <si>
    <t>300 LBS MAX</t>
  </si>
  <si>
    <t>AFT BAGGAGE COMPARTMENT</t>
  </si>
  <si>
    <t>120 LBS MAX</t>
  </si>
  <si>
    <t>CARGO (SEE POH DIAGRAM)</t>
  </si>
  <si>
    <t>108 - 145</t>
  </si>
  <si>
    <t>SUB TOTAL ZERO FUEL</t>
  </si>
  <si>
    <t>FUEL- MAIN      GALLONS</t>
  </si>
  <si>
    <t>FUEL- AUX        GALLONS</t>
  </si>
  <si>
    <t>SUB TOTAL RAMP WEIGHT</t>
  </si>
  <si>
    <t>LESS FUEL FOR</t>
  </si>
  <si>
    <t>START, TAXI AND TAKE OFF</t>
  </si>
  <si>
    <t>LESS MAIN FUEL ENROUTE</t>
  </si>
  <si>
    <t>LESS AUX FUEL ENROUTE</t>
  </si>
  <si>
    <t>LANDING CONDITION</t>
  </si>
  <si>
    <t>C.G.</t>
  </si>
  <si>
    <t>CENTER OF GRAVITY Takeoff</t>
  </si>
  <si>
    <t>CENTER OF GRAVITY Landing</t>
  </si>
  <si>
    <t>CENTER OF GRAVITY LIMITS</t>
  </si>
  <si>
    <t>FORWARD LIMIT @ WEIGHTS:</t>
  </si>
  <si>
    <t>AFT LIMIT @ WEIGHTS:</t>
  </si>
  <si>
    <t>Aircraft Specific Data -- Not Printed</t>
  </si>
  <si>
    <t>Type:</t>
  </si>
  <si>
    <t>Tail #:</t>
  </si>
  <si>
    <t>Normal Category</t>
  </si>
  <si>
    <t>min CG</t>
  </si>
  <si>
    <t>Min Gross</t>
  </si>
  <si>
    <t>max CG</t>
  </si>
  <si>
    <t>(max CG)</t>
  </si>
  <si>
    <r>
      <t>Wt</t>
    </r>
    <r>
      <rPr>
        <b/>
        <i/>
        <sz val="8"/>
        <rFont val="Arial"/>
        <family val="2"/>
      </rPr>
      <t xml:space="preserve"> @ Max CG</t>
    </r>
  </si>
  <si>
    <t>slope of corner cutout:</t>
  </si>
  <si>
    <t>CG2</t>
  </si>
  <si>
    <t>Max Gross</t>
  </si>
  <si>
    <t>CG1</t>
  </si>
  <si>
    <t>(if no cutout, make Wt2 = Max Gross</t>
  </si>
  <si>
    <t>(min CG)</t>
  </si>
  <si>
    <r>
      <t xml:space="preserve">Wt </t>
    </r>
    <r>
      <rPr>
        <b/>
        <i/>
        <sz val="8"/>
        <rFont val="Arial"/>
        <family val="2"/>
      </rPr>
      <t>@ Min CG</t>
    </r>
  </si>
  <si>
    <t>and CG2&lt;max CG)</t>
  </si>
  <si>
    <t>(Min Gross)</t>
  </si>
  <si>
    <t>Envelope Calculations</t>
  </si>
  <si>
    <t>is Wt &gt; Max Gross:</t>
  </si>
  <si>
    <t>B55</t>
  </si>
  <si>
    <t>CG @ T.O.</t>
  </si>
  <si>
    <t>CG @ Landing</t>
  </si>
  <si>
    <t>Empty CG</t>
  </si>
  <si>
    <t>Usable</t>
  </si>
  <si>
    <t>Weight</t>
  </si>
  <si>
    <t>N2023W</t>
  </si>
  <si>
    <t>TAKE OFF CONDITION</t>
  </si>
  <si>
    <t>TAS=CAS/(1-6.87535*10^-6*DA)^2.1280</t>
  </si>
  <si>
    <t xml:space="preserve">The formulas used to make this spreadsheet </t>
  </si>
  <si>
    <t>DA=PA+118.6*(T-T_s)</t>
  </si>
  <si>
    <t>came from an upload by Ed Williams called AVFORM.TXT in Lib 13</t>
  </si>
  <si>
    <t>DA=PA+(((T_s+273.15)/T_r)*(1-(T_s+273.15)/(T+273.15))^0.23498))</t>
  </si>
  <si>
    <t xml:space="preserve">Download it and you will find many more aviation </t>
  </si>
  <si>
    <t>T_s=15-.0019812*PA</t>
  </si>
  <si>
    <t>related formulas than I used in this little sheet.</t>
  </si>
  <si>
    <t>C=5/9(F-32)</t>
  </si>
  <si>
    <t xml:space="preserve">NOTE: I used Pressure Altitude = Indicated Altitude for simplicity. </t>
  </si>
  <si>
    <t>F=9/5C+32</t>
  </si>
  <si>
    <t>Actually you need to convert Indicated Altitude to Pressure Altitude by setting</t>
  </si>
  <si>
    <t>T_r=.0019812*h(ft)</t>
  </si>
  <si>
    <t>your altimeter to 29.92 before recording your altitude for these formulas</t>
  </si>
  <si>
    <t>PA = Pressure Altitude</t>
  </si>
  <si>
    <t>Density Altitude, TAS and NMPG have some limited</t>
  </si>
  <si>
    <t>DA = Density Altitude</t>
  </si>
  <si>
    <t xml:space="preserve">error testing to eliminate the ?NAME or #### errors </t>
  </si>
  <si>
    <t>CAS = Calibrated AirSpeed(Knots)</t>
  </si>
  <si>
    <t xml:space="preserve">that Excel will give. No real error testing is done on any of the </t>
  </si>
  <si>
    <t>TAS = True AirSpeed(Knots)</t>
  </si>
  <si>
    <t>data entry fields.</t>
  </si>
  <si>
    <t>T_s = Standard Temperature (Celsius)</t>
  </si>
  <si>
    <t>T_r = Temperature Lapse Rate (Celsius)</t>
  </si>
  <si>
    <t>T = Outside Air Temperature (Celsius)</t>
  </si>
  <si>
    <t>Temp Lapse rate</t>
  </si>
  <si>
    <t>Pressure Altitude</t>
  </si>
  <si>
    <t>&lt;-----------</t>
  </si>
  <si>
    <t>Doug Kaye's flight to Death Valley Feb 2003</t>
  </si>
  <si>
    <t>Outside Air Temp (F)</t>
  </si>
  <si>
    <t>Temp C</t>
  </si>
  <si>
    <t>Outside Air Temp (C)</t>
  </si>
  <si>
    <t>Standard Temp (C)</t>
  </si>
  <si>
    <t>Temp F</t>
  </si>
  <si>
    <t>Density Altitude</t>
  </si>
  <si>
    <t>More accurate</t>
  </si>
  <si>
    <t>Calibrated AirSpeed</t>
  </si>
  <si>
    <t>True AirSpeed</t>
  </si>
  <si>
    <t>MPH</t>
  </si>
  <si>
    <t>Gph</t>
  </si>
  <si>
    <t>MPG</t>
  </si>
  <si>
    <t>NMPG</t>
  </si>
  <si>
    <t>Density Altitude=Pressure_Altitude+118.6*(Outside_Air_Temp__C-(Standard_Temp__C))</t>
  </si>
  <si>
    <t>approx</t>
  </si>
  <si>
    <t>Density Altitude=Pressure_Altitude+(((Standard_Temp_C+273.15)/Temp_Lapse_rate)*(1-((Standard_Temp_C+273.15)/(Outside_Air_Temp_C+273.15))^0.23498))</t>
  </si>
  <si>
    <t>'=Calibrated_AirSpeed/(1-6.87535*10^-6*Density_Altitude)^2.128</t>
  </si>
  <si>
    <t>Fill in Pressure Alt, OAT RPM, MP R or L &amp; degrees, Fuel Flo &amp; IAS and it will compute DA, KTAS and NMPG</t>
  </si>
  <si>
    <t xml:space="preserve"> Flight Log</t>
  </si>
  <si>
    <t>OAT</t>
  </si>
  <si>
    <t>Density Alt</t>
  </si>
  <si>
    <t>RPM</t>
  </si>
  <si>
    <t>MP + R or L &amp; degrees</t>
  </si>
  <si>
    <t>Fuel Flow</t>
  </si>
  <si>
    <t>IAS</t>
  </si>
  <si>
    <t>TAS</t>
  </si>
  <si>
    <t>Date</t>
  </si>
  <si>
    <t>IO-520</t>
  </si>
  <si>
    <t>WOT</t>
  </si>
  <si>
    <t>IO-550</t>
  </si>
  <si>
    <t>&lt;----</t>
  </si>
  <si>
    <t>12 KTAS same fuel flow</t>
  </si>
  <si>
    <t>Lotus/ Works Enabled Spreadsheet - no cell names used  just formulas</t>
  </si>
  <si>
    <t>KIAS to KTAS Calculator</t>
  </si>
  <si>
    <t xml:space="preserve">&lt;---------- </t>
  </si>
  <si>
    <t>Enter info</t>
  </si>
  <si>
    <t>Results Calculated by Formula</t>
  </si>
  <si>
    <t>Std OAT</t>
  </si>
  <si>
    <t>True Air Speed</t>
  </si>
  <si>
    <t>ROP HP Formula from APS --</t>
  </si>
  <si>
    <t>100-((MaxRPM/100-RPM/100)*2.5+(MaxMP-MP)*3.5)</t>
  </si>
  <si>
    <t>Data from Airplane</t>
  </si>
  <si>
    <t>MAX HP</t>
  </si>
  <si>
    <t>MAX RPM</t>
  </si>
  <si>
    <t>MP Gauge</t>
  </si>
  <si>
    <t xml:space="preserve">Enter </t>
  </si>
  <si>
    <t>Tach RPM</t>
  </si>
  <si>
    <t>MAX MP</t>
  </si>
  <si>
    <t>Calculated</t>
  </si>
  <si>
    <t>Percent Power</t>
  </si>
  <si>
    <t>Approx HP</t>
  </si>
  <si>
    <t>14.9*Fuel Flow NA &amp; TN IO-470/520/550</t>
  </si>
  <si>
    <t>13.9*Fuel Flow Factory Turbo TSIO-470/520/550</t>
  </si>
  <si>
    <t>GPS TAS to CAS Calculator</t>
  </si>
  <si>
    <t>Enter PA</t>
  </si>
  <si>
    <t>Enter OAT</t>
  </si>
  <si>
    <t>Enter TAS from GPS TAS Calculator</t>
  </si>
  <si>
    <t>Std Temp</t>
  </si>
  <si>
    <t>BARON</t>
  </si>
  <si>
    <t>SERIAL NO. TC-XXXX</t>
  </si>
  <si>
    <t>Ernie G 73760,52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</si>
</sst>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"/>
    <numFmt numFmtId="167" formatCode="00000"/>
    <numFmt numFmtId="168" formatCode="0.000"/>
  </numFmts>
  <fonts count="22">
    <font>
      <sz val="12"/>
      <name val="Arial"/>
      <family val="0"/>
    </font>
    <font>
      <sz val="10"/>
      <name val="Arial"/>
      <family val="0"/>
    </font>
    <font>
      <b/>
      <sz val="18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0"/>
    </font>
    <font>
      <i/>
      <sz val="10"/>
      <color indexed="9"/>
      <name val="Arial"/>
      <family val="0"/>
    </font>
    <font>
      <i/>
      <sz val="10"/>
      <name val="Arial"/>
      <family val="0"/>
    </font>
    <font>
      <b/>
      <i/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21"/>
      <name val="Arial"/>
      <family val="0"/>
    </font>
    <font>
      <sz val="21"/>
      <name val="Arial"/>
      <family val="0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25.25"/>
      <color indexed="12"/>
      <name val="Arial"/>
      <family val="2"/>
    </font>
    <font>
      <b/>
      <i/>
      <u val="single"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5">
    <xf numFmtId="165" fontId="0" fillId="0" borderId="0" xfId="0" applyAlignment="1">
      <alignment/>
    </xf>
    <xf numFmtId="165" fontId="2" fillId="0" borderId="0" xfId="0" applyFont="1" applyAlignment="1" applyProtection="1">
      <alignment horizontal="centerContinuous"/>
      <protection/>
    </xf>
    <xf numFmtId="165" fontId="3" fillId="0" borderId="0" xfId="0" applyFont="1" applyAlignment="1" applyProtection="1">
      <alignment horizontal="centerContinuous"/>
      <protection/>
    </xf>
    <xf numFmtId="165" fontId="4" fillId="0" borderId="0" xfId="0" applyFont="1" applyAlignment="1" applyProtection="1">
      <alignment horizontal="centerContinuous"/>
      <protection/>
    </xf>
    <xf numFmtId="165" fontId="3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center"/>
      <protection/>
    </xf>
    <xf numFmtId="165" fontId="5" fillId="0" borderId="1" xfId="0" applyFont="1" applyBorder="1" applyAlignment="1" applyProtection="1">
      <alignment/>
      <protection/>
    </xf>
    <xf numFmtId="165" fontId="3" fillId="0" borderId="1" xfId="0" applyFont="1" applyBorder="1" applyAlignment="1" applyProtection="1">
      <alignment horizontal="center" vertical="center"/>
      <protection/>
    </xf>
    <xf numFmtId="165" fontId="3" fillId="0" borderId="1" xfId="0" applyFont="1" applyBorder="1" applyAlignment="1" applyProtection="1">
      <alignment horizontal="center"/>
      <protection/>
    </xf>
    <xf numFmtId="165" fontId="6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right"/>
      <protection/>
    </xf>
    <xf numFmtId="165" fontId="7" fillId="0" borderId="0" xfId="0" applyFont="1" applyAlignment="1">
      <alignment/>
    </xf>
    <xf numFmtId="165" fontId="0" fillId="0" borderId="0" xfId="0" applyAlignment="1">
      <alignment horizontal="centerContinuous"/>
    </xf>
    <xf numFmtId="165" fontId="1" fillId="0" borderId="2" xfId="0" applyFont="1" applyBorder="1" applyAlignment="1">
      <alignment horizontal="right"/>
    </xf>
    <xf numFmtId="165" fontId="8" fillId="2" borderId="3" xfId="0" applyFont="1" applyFill="1" applyBorder="1" applyAlignment="1" applyProtection="1">
      <alignment horizontal="centerContinuous"/>
      <protection locked="0"/>
    </xf>
    <xf numFmtId="165" fontId="1" fillId="0" borderId="3" xfId="0" applyFont="1" applyBorder="1" applyAlignment="1">
      <alignment horizontal="right"/>
    </xf>
    <xf numFmtId="165" fontId="8" fillId="2" borderId="4" xfId="0" applyFont="1" applyFill="1" applyBorder="1" applyAlignment="1" applyProtection="1">
      <alignment/>
      <protection locked="0"/>
    </xf>
    <xf numFmtId="165" fontId="9" fillId="0" borderId="0" xfId="0" applyFont="1" applyAlignment="1">
      <alignment horizontal="centerContinuous"/>
    </xf>
    <xf numFmtId="165" fontId="7" fillId="0" borderId="0" xfId="0" applyFont="1" applyAlignment="1">
      <alignment horizontal="right"/>
    </xf>
    <xf numFmtId="165" fontId="0" fillId="0" borderId="0" xfId="0" applyBorder="1" applyAlignment="1">
      <alignment/>
    </xf>
    <xf numFmtId="165" fontId="11" fillId="0" borderId="0" xfId="0" applyFont="1" applyAlignment="1">
      <alignment/>
    </xf>
    <xf numFmtId="165" fontId="11" fillId="0" borderId="0" xfId="0" applyFont="1" applyAlignment="1">
      <alignment horizontal="right"/>
    </xf>
    <xf numFmtId="165" fontId="7" fillId="0" borderId="5" xfId="0" applyFont="1" applyBorder="1" applyAlignment="1">
      <alignment/>
    </xf>
    <xf numFmtId="165" fontId="0" fillId="0" borderId="6" xfId="0" applyBorder="1" applyAlignment="1">
      <alignment/>
    </xf>
    <xf numFmtId="165" fontId="0" fillId="0" borderId="7" xfId="0" applyBorder="1" applyAlignment="1">
      <alignment/>
    </xf>
    <xf numFmtId="166" fontId="9" fillId="0" borderId="8" xfId="0" applyNumberFormat="1" applyFont="1" applyBorder="1" applyAlignment="1">
      <alignment horizontal="centerContinuous"/>
    </xf>
    <xf numFmtId="165" fontId="0" fillId="0" borderId="0" xfId="0" applyBorder="1" applyAlignment="1">
      <alignment horizontal="centerContinuous"/>
    </xf>
    <xf numFmtId="165" fontId="0" fillId="0" borderId="9" xfId="0" applyBorder="1" applyAlignment="1">
      <alignment/>
    </xf>
    <xf numFmtId="165" fontId="11" fillId="0" borderId="8" xfId="0" applyFont="1" applyBorder="1" applyAlignment="1">
      <alignment/>
    </xf>
    <xf numFmtId="165" fontId="11" fillId="0" borderId="10" xfId="0" applyFont="1" applyBorder="1" applyAlignment="1">
      <alignment/>
    </xf>
    <xf numFmtId="165" fontId="0" fillId="0" borderId="11" xfId="0" applyBorder="1" applyAlignment="1">
      <alignment/>
    </xf>
    <xf numFmtId="165" fontId="0" fillId="0" borderId="12" xfId="0" applyBorder="1" applyAlignment="1">
      <alignment/>
    </xf>
    <xf numFmtId="165" fontId="9" fillId="0" borderId="0" xfId="0" applyFont="1" applyAlignment="1">
      <alignment/>
    </xf>
    <xf numFmtId="165" fontId="0" fillId="0" borderId="0" xfId="0" applyAlignment="1">
      <alignment horizontal="center"/>
    </xf>
    <xf numFmtId="165" fontId="8" fillId="2" borderId="13" xfId="0" applyFont="1" applyFill="1" applyBorder="1" applyAlignment="1" applyProtection="1">
      <alignment horizontal="center"/>
      <protection locked="0"/>
    </xf>
    <xf numFmtId="165" fontId="10" fillId="2" borderId="13" xfId="0" applyFont="1" applyFill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/>
      <protection hidden="1"/>
    </xf>
    <xf numFmtId="165" fontId="13" fillId="0" borderId="5" xfId="0" applyFont="1" applyBorder="1" applyAlignment="1">
      <alignment/>
    </xf>
    <xf numFmtId="165" fontId="13" fillId="0" borderId="7" xfId="0" applyFont="1" applyBorder="1" applyAlignment="1">
      <alignment/>
    </xf>
    <xf numFmtId="165" fontId="0" fillId="0" borderId="10" xfId="0" applyBorder="1" applyAlignment="1">
      <alignment/>
    </xf>
    <xf numFmtId="0" fontId="14" fillId="2" borderId="10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5" fontId="17" fillId="2" borderId="1" xfId="0" applyFont="1" applyFill="1" applyBorder="1" applyAlignment="1" applyProtection="1">
      <alignment horizontal="center"/>
      <protection/>
    </xf>
    <xf numFmtId="164" fontId="17" fillId="2" borderId="1" xfId="0" applyNumberFormat="1" applyFont="1" applyFill="1" applyBorder="1" applyAlignment="1" applyProtection="1">
      <alignment horizontal="center"/>
      <protection/>
    </xf>
    <xf numFmtId="165" fontId="17" fillId="2" borderId="0" xfId="0" applyFont="1" applyFill="1" applyAlignment="1" applyProtection="1">
      <alignment horizontal="center"/>
      <protection/>
    </xf>
    <xf numFmtId="164" fontId="17" fillId="2" borderId="0" xfId="0" applyNumberFormat="1" applyFont="1" applyFill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5" fontId="0" fillId="0" borderId="0" xfId="0" applyAlignment="1">
      <alignment horizontal="right"/>
    </xf>
    <xf numFmtId="165" fontId="0" fillId="0" borderId="14" xfId="0" applyBorder="1" applyAlignment="1">
      <alignment/>
    </xf>
    <xf numFmtId="165" fontId="0" fillId="0" borderId="15" xfId="0" applyBorder="1" applyAlignment="1">
      <alignment/>
    </xf>
    <xf numFmtId="165" fontId="0" fillId="0" borderId="16" xfId="0" applyBorder="1" applyAlignment="1">
      <alignment/>
    </xf>
    <xf numFmtId="165" fontId="0" fillId="0" borderId="17" xfId="0" applyBorder="1" applyAlignment="1">
      <alignment/>
    </xf>
    <xf numFmtId="165" fontId="0" fillId="0" borderId="18" xfId="0" applyBorder="1" applyAlignment="1">
      <alignment/>
    </xf>
    <xf numFmtId="1" fontId="0" fillId="0" borderId="0" xfId="0" applyNumberFormat="1" applyAlignment="1">
      <alignment/>
    </xf>
    <xf numFmtId="165" fontId="0" fillId="0" borderId="19" xfId="0" applyBorder="1" applyAlignment="1">
      <alignment/>
    </xf>
    <xf numFmtId="165" fontId="0" fillId="0" borderId="20" xfId="0" applyBorder="1" applyAlignment="1">
      <alignment/>
    </xf>
    <xf numFmtId="37" fontId="0" fillId="0" borderId="0" xfId="0" applyNumberFormat="1" applyBorder="1" applyAlignment="1">
      <alignment/>
    </xf>
    <xf numFmtId="165" fontId="0" fillId="0" borderId="21" xfId="0" applyBorder="1" applyAlignment="1">
      <alignment/>
    </xf>
    <xf numFmtId="165" fontId="0" fillId="0" borderId="22" xfId="0" applyBorder="1" applyAlignment="1">
      <alignment/>
    </xf>
    <xf numFmtId="37" fontId="0" fillId="0" borderId="22" xfId="0" applyNumberFormat="1" applyBorder="1" applyAlignment="1">
      <alignment/>
    </xf>
    <xf numFmtId="165" fontId="0" fillId="0" borderId="23" xfId="0" applyBorder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7" fontId="0" fillId="0" borderId="24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65" fontId="0" fillId="0" borderId="0" xfId="0" applyAlignment="1" quotePrefix="1">
      <alignment/>
    </xf>
    <xf numFmtId="1" fontId="0" fillId="0" borderId="0" xfId="0" applyNumberFormat="1" applyAlignment="1">
      <alignment horizontal="right"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 quotePrefix="1">
      <alignment/>
    </xf>
    <xf numFmtId="0" fontId="0" fillId="0" borderId="0" xfId="0" applyNumberFormat="1" applyBorder="1" applyAlignment="1">
      <alignment/>
    </xf>
    <xf numFmtId="165" fontId="0" fillId="0" borderId="24" xfId="0" applyBorder="1" applyAlignment="1">
      <alignment/>
    </xf>
    <xf numFmtId="1" fontId="20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24" xfId="0" applyNumberFormat="1" applyBorder="1" applyAlignment="1">
      <alignment/>
    </xf>
    <xf numFmtId="37" fontId="0" fillId="0" borderId="2" xfId="0" applyNumberFormat="1" applyBorder="1" applyAlignment="1">
      <alignment/>
    </xf>
    <xf numFmtId="165" fontId="0" fillId="0" borderId="3" xfId="0" applyBorder="1" applyAlignment="1">
      <alignment/>
    </xf>
    <xf numFmtId="165" fontId="0" fillId="0" borderId="4" xfId="0" applyBorder="1" applyAlignment="1">
      <alignment/>
    </xf>
    <xf numFmtId="1" fontId="0" fillId="0" borderId="2" xfId="0" applyNumberFormat="1" applyBorder="1" applyAlignment="1">
      <alignment horizontal="centerContinuous" wrapText="1"/>
    </xf>
    <xf numFmtId="165" fontId="0" fillId="0" borderId="3" xfId="0" applyBorder="1" applyAlignment="1">
      <alignment horizontal="centerContinuous" wrapText="1"/>
    </xf>
    <xf numFmtId="165" fontId="0" fillId="0" borderId="4" xfId="0" applyBorder="1" applyAlignment="1">
      <alignment wrapText="1"/>
    </xf>
    <xf numFmtId="1" fontId="0" fillId="0" borderId="0" xfId="0" applyNumberFormat="1" applyBorder="1" applyAlignment="1">
      <alignment horizontal="centerContinuous" wrapText="1"/>
    </xf>
    <xf numFmtId="165" fontId="0" fillId="0" borderId="0" xfId="0" applyBorder="1" applyAlignment="1">
      <alignment horizontal="centerContinuous" wrapText="1"/>
    </xf>
    <xf numFmtId="165" fontId="0" fillId="0" borderId="0" xfId="0" applyBorder="1" applyAlignment="1">
      <alignment wrapText="1"/>
    </xf>
    <xf numFmtId="1" fontId="0" fillId="0" borderId="0" xfId="0" applyNumberFormat="1" applyBorder="1" applyAlignment="1" quotePrefix="1">
      <alignment horizontal="centerContinuous" wrapText="1"/>
    </xf>
    <xf numFmtId="165" fontId="0" fillId="0" borderId="25" xfId="0" applyBorder="1" applyAlignment="1">
      <alignment/>
    </xf>
    <xf numFmtId="165" fontId="7" fillId="0" borderId="25" xfId="0" applyFont="1" applyBorder="1" applyAlignment="1">
      <alignment/>
    </xf>
    <xf numFmtId="165" fontId="7" fillId="0" borderId="12" xfId="0" applyFont="1" applyBorder="1" applyAlignment="1">
      <alignment/>
    </xf>
    <xf numFmtId="165" fontId="0" fillId="0" borderId="26" xfId="0" applyFill="1" applyBorder="1" applyAlignment="1">
      <alignment/>
    </xf>
    <xf numFmtId="165" fontId="0" fillId="0" borderId="12" xfId="0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/>
    </xf>
    <xf numFmtId="15" fontId="0" fillId="0" borderId="0" xfId="0" applyNumberFormat="1" applyAlignment="1">
      <alignment/>
    </xf>
    <xf numFmtId="165" fontId="0" fillId="0" borderId="24" xfId="0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166" fontId="7" fillId="0" borderId="24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65" fontId="9" fillId="0" borderId="0" xfId="0" applyFont="1" applyAlignment="1">
      <alignment/>
    </xf>
    <xf numFmtId="165" fontId="14" fillId="0" borderId="0" xfId="0" applyFont="1" applyAlignment="1">
      <alignment/>
    </xf>
    <xf numFmtId="1" fontId="20" fillId="0" borderId="0" xfId="0" applyNumberFormat="1" applyFont="1" applyAlignment="1">
      <alignment/>
    </xf>
    <xf numFmtId="3" fontId="0" fillId="0" borderId="0" xfId="0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Weight &amp; Balance Envelope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5175"/>
          <c:w val="0.6605"/>
          <c:h val="0.74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'B55 W&amp;B'!$B$76:$B$83</c:f>
              <c:numCache/>
            </c:numRef>
          </c:xVal>
          <c:yVal>
            <c:numRef>
              <c:f>'B55 W&amp;B'!$C$76:$C$83</c:f>
              <c:numCache/>
            </c:numRef>
          </c:yVal>
          <c:smooth val="0"/>
        </c:ser>
        <c:ser>
          <c:idx val="1"/>
          <c:order val="1"/>
          <c:tx>
            <c:strRef>
              <c:f>'B55 W&amp;B'!$E$26</c:f>
              <c:strCache>
                <c:ptCount val="1"/>
                <c:pt idx="0">
                  <c:v>CG @ T.O.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'B55 W&amp;B'!$D$26</c:f>
              <c:numCache/>
            </c:numRef>
          </c:xVal>
          <c:yVal>
            <c:numRef>
              <c:f>'B55 W&amp;B'!$C$26</c:f>
              <c:numCache/>
            </c:numRef>
          </c:yVal>
          <c:smooth val="0"/>
        </c:ser>
        <c:ser>
          <c:idx val="2"/>
          <c:order val="2"/>
          <c:tx>
            <c:strRef>
              <c:f>'B55 W&amp;B'!$E$27</c:f>
              <c:strCache>
                <c:ptCount val="1"/>
                <c:pt idx="0">
                  <c:v>CG @ Landing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'B55 W&amp;B'!$D$27</c:f>
              <c:numCache/>
            </c:numRef>
          </c:xVal>
          <c:yVal>
            <c:numRef>
              <c:f>'B55 W&amp;B'!$C$27</c:f>
              <c:numCache/>
            </c:numRef>
          </c:yVal>
          <c:smooth val="0"/>
        </c:ser>
        <c:ser>
          <c:idx val="3"/>
          <c:order val="3"/>
          <c:tx>
            <c:strRef>
              <c:f>'B55 W&amp;B'!$G$7</c:f>
              <c:strCache>
                <c:ptCount val="1"/>
                <c:pt idx="0">
                  <c:v>Empty CG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'B55 W&amp;B'!$D$7</c:f>
              <c:numCache/>
            </c:numRef>
          </c:xVal>
          <c:yVal>
            <c:numRef>
              <c:f>'B55 W&amp;B'!$C$7</c:f>
              <c:numCache/>
            </c:numRef>
          </c:yVal>
          <c:smooth val="0"/>
        </c:ser>
        <c:axId val="37242562"/>
        <c:axId val="66747603"/>
      </c:scatterChart>
      <c:valAx>
        <c:axId val="37242562"/>
        <c:scaling>
          <c:orientation val="minMax"/>
          <c:max val="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Center of Gravity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747603"/>
        <c:crosses val="autoZero"/>
        <c:crossBetween val="midCat"/>
        <c:dispUnits/>
        <c:majorUnit val="1"/>
        <c:minorUnit val="0.2"/>
      </c:valAx>
      <c:valAx>
        <c:axId val="66747603"/>
        <c:scaling>
          <c:orientation val="minMax"/>
          <c:max val="5200"/>
          <c:min val="3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crossBetween val="midCat"/>
        <c:dispUnits/>
        <c:majorUnit val="200"/>
        <c:minorUnit val="20"/>
      </c:valAx>
      <c:spPr>
        <a:ln w="254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975"/>
          <c:y val="0.427"/>
          <c:w val="0.1875"/>
          <c:h val="0.1592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40</xdr:row>
      <xdr:rowOff>28575</xdr:rowOff>
    </xdr:from>
    <xdr:to>
      <xdr:col>8</xdr:col>
      <xdr:colOff>95250</xdr:colOff>
      <xdr:row>72</xdr:row>
      <xdr:rowOff>0</xdr:rowOff>
    </xdr:to>
    <xdr:graphicFrame>
      <xdr:nvGraphicFramePr>
        <xdr:cNvPr id="1" name="Chart 2"/>
        <xdr:cNvGraphicFramePr/>
      </xdr:nvGraphicFramePr>
      <xdr:xfrm>
        <a:off x="47625" y="9429750"/>
        <a:ext cx="860107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87"/>
  <sheetViews>
    <sheetView tabSelected="1" defaultGridColor="0" zoomScale="87" zoomScaleNormal="87" colorId="22" workbookViewId="0" topLeftCell="A1">
      <selection activeCell="A113" sqref="A113"/>
    </sheetView>
  </sheetViews>
  <sheetFormatPr defaultColWidth="9.77734375" defaultRowHeight="15"/>
  <cols>
    <col min="1" max="1" width="23.77734375" style="0" customWidth="1"/>
    <col min="3" max="4" width="11.77734375" style="0" customWidth="1"/>
    <col min="5" max="5" width="13.21484375" style="0" customWidth="1"/>
    <col min="6" max="6" width="11.77734375" style="0" customWidth="1"/>
    <col min="7" max="7" width="7.77734375" style="0" customWidth="1"/>
    <col min="8" max="8" width="9.88671875" style="0" bestFit="1" customWidth="1"/>
    <col min="9" max="9" width="6.4453125" style="33" customWidth="1"/>
    <col min="10" max="10" width="10.5546875" style="0" bestFit="1" customWidth="1"/>
    <col min="17" max="17" width="3.6640625" style="0" customWidth="1"/>
    <col min="21" max="21" width="11.3359375" style="0" bestFit="1" customWidth="1"/>
  </cols>
  <sheetData>
    <row r="1" spans="1:7" ht="23.25">
      <c r="A1" s="1" t="s">
        <v>149</v>
      </c>
      <c r="B1" s="2"/>
      <c r="C1" s="2"/>
      <c r="D1" s="2"/>
      <c r="E1" s="2"/>
      <c r="F1" s="2"/>
      <c r="G1" s="2"/>
    </row>
    <row r="2" spans="1:7" ht="18">
      <c r="A2" s="3" t="s">
        <v>150</v>
      </c>
      <c r="B2" s="2"/>
      <c r="C2" s="2"/>
      <c r="D2" s="2"/>
      <c r="E2" s="2"/>
      <c r="F2" s="2"/>
      <c r="G2" s="2"/>
    </row>
    <row r="3" spans="1:7" ht="18">
      <c r="A3" s="3" t="s">
        <v>0</v>
      </c>
      <c r="B3" s="2"/>
      <c r="C3" s="2"/>
      <c r="D3" s="2"/>
      <c r="E3" s="2"/>
      <c r="F3" s="2"/>
      <c r="G3" s="2"/>
    </row>
    <row r="5" spans="1:7" ht="15">
      <c r="A5" s="4"/>
      <c r="B5" s="5" t="s">
        <v>1</v>
      </c>
      <c r="C5" s="5"/>
      <c r="D5" s="5"/>
      <c r="E5" s="5"/>
      <c r="F5" s="5" t="s">
        <v>2</v>
      </c>
      <c r="G5" s="4"/>
    </row>
    <row r="6" spans="1:7" ht="15">
      <c r="A6" s="4"/>
      <c r="B6" s="5" t="s">
        <v>3</v>
      </c>
      <c r="C6" s="5" t="s">
        <v>4</v>
      </c>
      <c r="D6" s="5" t="s">
        <v>1</v>
      </c>
      <c r="E6" s="5" t="s">
        <v>2</v>
      </c>
      <c r="F6" s="5" t="s">
        <v>5</v>
      </c>
      <c r="G6" s="4"/>
    </row>
    <row r="7" spans="1:7" ht="21" customHeight="1">
      <c r="A7" s="6" t="s">
        <v>6</v>
      </c>
      <c r="B7" s="7" t="s">
        <v>7</v>
      </c>
      <c r="C7" s="42">
        <v>3286.45</v>
      </c>
      <c r="D7" s="43">
        <v>76.726</v>
      </c>
      <c r="E7" s="42">
        <f>+C7*D7</f>
        <v>252156.1627</v>
      </c>
      <c r="F7" s="8">
        <f>E7/100</f>
        <v>2521.561627</v>
      </c>
      <c r="G7" s="36" t="s">
        <v>57</v>
      </c>
    </row>
    <row r="8" spans="1:7" ht="21" customHeight="1">
      <c r="A8" s="6" t="s">
        <v>8</v>
      </c>
      <c r="B8" s="8" t="s">
        <v>9</v>
      </c>
      <c r="C8" s="8">
        <v>0</v>
      </c>
      <c r="D8" s="8">
        <v>87</v>
      </c>
      <c r="E8" s="8">
        <f aca="true" t="shared" si="0" ref="E8:E13">+D8*C8</f>
        <v>0</v>
      </c>
      <c r="F8" s="8">
        <f aca="true" t="shared" si="1" ref="F8:F13">+E8/100</f>
        <v>0</v>
      </c>
      <c r="G8" s="4"/>
    </row>
    <row r="9" spans="1:7" ht="21" customHeight="1">
      <c r="A9" s="6" t="s">
        <v>10</v>
      </c>
      <c r="B9" s="8" t="s">
        <v>11</v>
      </c>
      <c r="C9" s="8">
        <v>0</v>
      </c>
      <c r="D9" s="8">
        <v>128</v>
      </c>
      <c r="E9" s="8">
        <f t="shared" si="0"/>
        <v>0</v>
      </c>
      <c r="F9" s="8">
        <f t="shared" si="1"/>
        <v>0</v>
      </c>
      <c r="G9" s="4"/>
    </row>
    <row r="10" spans="1:7" ht="21" customHeight="1">
      <c r="A10" s="6" t="s">
        <v>12</v>
      </c>
      <c r="B10" s="8">
        <v>154</v>
      </c>
      <c r="C10" s="8">
        <v>0</v>
      </c>
      <c r="D10" s="8">
        <v>154</v>
      </c>
      <c r="E10" s="8">
        <f t="shared" si="0"/>
        <v>0</v>
      </c>
      <c r="F10" s="8">
        <f t="shared" si="1"/>
        <v>0</v>
      </c>
      <c r="G10" s="4"/>
    </row>
    <row r="11" spans="1:7" ht="21" customHeight="1">
      <c r="A11" s="6" t="s">
        <v>13</v>
      </c>
      <c r="B11" s="8">
        <v>31</v>
      </c>
      <c r="C11" s="8">
        <v>0</v>
      </c>
      <c r="D11" s="8">
        <v>31</v>
      </c>
      <c r="E11" s="8">
        <f t="shared" si="0"/>
        <v>0</v>
      </c>
      <c r="F11" s="8">
        <f t="shared" si="1"/>
        <v>0</v>
      </c>
      <c r="G11" s="9" t="s">
        <v>14</v>
      </c>
    </row>
    <row r="12" spans="1:7" ht="21" customHeight="1">
      <c r="A12" s="6" t="s">
        <v>15</v>
      </c>
      <c r="B12" s="8">
        <v>180</v>
      </c>
      <c r="C12" s="8">
        <v>0</v>
      </c>
      <c r="D12" s="8">
        <v>180</v>
      </c>
      <c r="E12" s="8">
        <f t="shared" si="0"/>
        <v>0</v>
      </c>
      <c r="F12" s="8">
        <f t="shared" si="1"/>
        <v>0</v>
      </c>
      <c r="G12" s="9" t="s">
        <v>16</v>
      </c>
    </row>
    <row r="13" spans="1:7" ht="21" customHeight="1">
      <c r="A13" s="6" t="s">
        <v>17</v>
      </c>
      <c r="B13" s="8" t="s">
        <v>18</v>
      </c>
      <c r="C13" s="8">
        <v>0</v>
      </c>
      <c r="D13" s="8">
        <v>140</v>
      </c>
      <c r="E13" s="8">
        <f t="shared" si="0"/>
        <v>0</v>
      </c>
      <c r="F13" s="8">
        <f t="shared" si="1"/>
        <v>0</v>
      </c>
      <c r="G13" s="4"/>
    </row>
    <row r="14" spans="1:7" ht="21" customHeight="1">
      <c r="A14" s="6" t="s">
        <v>19</v>
      </c>
      <c r="B14" s="8"/>
      <c r="C14" s="8">
        <f>SUM(C7:C13)</f>
        <v>3286.45</v>
      </c>
      <c r="D14" s="8">
        <f>E14/C14</f>
        <v>76.726</v>
      </c>
      <c r="E14" s="8">
        <f>SUM(E7:E13)</f>
        <v>252156.1627</v>
      </c>
      <c r="F14" s="8">
        <f>SUM(F7:F13)</f>
        <v>2521.561627</v>
      </c>
      <c r="G14" s="4"/>
    </row>
    <row r="15" spans="1:9" ht="21" customHeight="1">
      <c r="A15" s="6" t="s">
        <v>20</v>
      </c>
      <c r="B15" s="8">
        <v>74</v>
      </c>
      <c r="C15" s="8">
        <v>0</v>
      </c>
      <c r="D15" s="8">
        <v>75</v>
      </c>
      <c r="E15" s="8">
        <f>+D15*C15</f>
        <v>0</v>
      </c>
      <c r="F15" s="8">
        <f>+E15/100</f>
        <v>0</v>
      </c>
      <c r="G15">
        <v>76</v>
      </c>
      <c r="H15" s="47" t="s">
        <v>58</v>
      </c>
      <c r="I15" s="5">
        <v>74</v>
      </c>
    </row>
    <row r="16" spans="1:9" ht="21" customHeight="1">
      <c r="A16" s="6" t="s">
        <v>21</v>
      </c>
      <c r="B16" s="8">
        <v>26</v>
      </c>
      <c r="C16" s="8">
        <v>0</v>
      </c>
      <c r="D16" s="8">
        <v>93</v>
      </c>
      <c r="E16" s="8">
        <f>+D16*C16</f>
        <v>0</v>
      </c>
      <c r="F16" s="8">
        <f>+E16/100</f>
        <v>0</v>
      </c>
      <c r="G16">
        <v>66</v>
      </c>
      <c r="H16" s="47" t="s">
        <v>58</v>
      </c>
      <c r="I16" s="33">
        <v>62</v>
      </c>
    </row>
    <row r="17" spans="1:19" ht="21" customHeight="1">
      <c r="A17" s="6" t="s">
        <v>22</v>
      </c>
      <c r="B17" s="8"/>
      <c r="C17" s="8">
        <f>SUM(C14:C16)</f>
        <v>3286.45</v>
      </c>
      <c r="D17" s="8"/>
      <c r="E17" s="8">
        <f>SUM(E14:E16)</f>
        <v>252156.1627</v>
      </c>
      <c r="F17" s="8">
        <f>SUM(F14:F16)</f>
        <v>2521.561627</v>
      </c>
      <c r="S17" s="39"/>
    </row>
    <row r="18" spans="1:6" ht="21" customHeight="1">
      <c r="A18" s="6" t="s">
        <v>23</v>
      </c>
      <c r="B18" s="8"/>
      <c r="C18" s="8"/>
      <c r="D18" s="8"/>
      <c r="E18" s="8"/>
      <c r="F18" s="8"/>
    </row>
    <row r="19" spans="1:6" ht="21" customHeight="1">
      <c r="A19" s="6" t="s">
        <v>24</v>
      </c>
      <c r="B19" s="8">
        <v>2</v>
      </c>
      <c r="C19" s="8">
        <f>B19*6</f>
        <v>12</v>
      </c>
      <c r="D19" s="8">
        <v>75</v>
      </c>
      <c r="E19" s="8">
        <f>+D19*C19</f>
        <v>900</v>
      </c>
      <c r="F19" s="8">
        <f>+E19/100</f>
        <v>9</v>
      </c>
    </row>
    <row r="20" spans="1:6" ht="21" customHeight="1">
      <c r="A20" s="6" t="s">
        <v>61</v>
      </c>
      <c r="B20" s="8"/>
      <c r="C20" s="8">
        <f>+C17-C19</f>
        <v>3274.45</v>
      </c>
      <c r="D20" s="8"/>
      <c r="E20" s="8">
        <f>+E17-E19</f>
        <v>251256.1627</v>
      </c>
      <c r="F20" s="8">
        <f>+F17-F19</f>
        <v>2512.561627</v>
      </c>
    </row>
    <row r="21" spans="1:6" ht="21" customHeight="1">
      <c r="A21" s="6" t="s">
        <v>25</v>
      </c>
      <c r="B21" s="8">
        <v>40</v>
      </c>
      <c r="C21" s="8">
        <v>0</v>
      </c>
      <c r="D21" s="8">
        <v>75</v>
      </c>
      <c r="E21" s="8">
        <f>+D21*C21</f>
        <v>0</v>
      </c>
      <c r="F21" s="8">
        <f>+E21/100</f>
        <v>0</v>
      </c>
    </row>
    <row r="22" spans="1:10" ht="21" customHeight="1">
      <c r="A22" s="6" t="s">
        <v>26</v>
      </c>
      <c r="B22" s="8">
        <v>26</v>
      </c>
      <c r="C22" s="8">
        <v>0</v>
      </c>
      <c r="D22" s="8">
        <v>93</v>
      </c>
      <c r="E22" s="8">
        <f>+D22*C22</f>
        <v>0</v>
      </c>
      <c r="F22" s="8">
        <f>+E22/100</f>
        <v>0</v>
      </c>
      <c r="H22" s="41"/>
      <c r="I22" s="46"/>
      <c r="J22" s="41"/>
    </row>
    <row r="23" spans="1:10" ht="21" customHeight="1">
      <c r="A23" s="6" t="s">
        <v>27</v>
      </c>
      <c r="B23" s="8"/>
      <c r="C23" s="8">
        <f>+C20-C22-C21</f>
        <v>3274.45</v>
      </c>
      <c r="D23" s="8"/>
      <c r="E23" s="8">
        <f>+E20-E22-E21</f>
        <v>251256.1627</v>
      </c>
      <c r="F23" s="8">
        <f>+F20-F22-F21</f>
        <v>2512.561627</v>
      </c>
      <c r="H23" s="41"/>
      <c r="I23" s="46"/>
      <c r="J23" s="41"/>
    </row>
    <row r="24" spans="1:10" ht="21" customHeight="1">
      <c r="A24" s="4"/>
      <c r="B24" s="5"/>
      <c r="C24" s="5"/>
      <c r="D24" s="5"/>
      <c r="E24" s="5"/>
      <c r="F24" s="5"/>
      <c r="H24" s="41"/>
      <c r="I24" s="46"/>
      <c r="J24" s="41"/>
    </row>
    <row r="25" spans="1:10" ht="21" customHeight="1">
      <c r="A25" s="4"/>
      <c r="C25" s="44" t="s">
        <v>59</v>
      </c>
      <c r="D25" s="44" t="s">
        <v>28</v>
      </c>
      <c r="E25" s="44"/>
      <c r="F25" s="5"/>
      <c r="H25" s="41"/>
      <c r="I25" s="46"/>
      <c r="J25" s="41"/>
    </row>
    <row r="26" spans="1:6" ht="21" customHeight="1">
      <c r="A26" s="4" t="s">
        <v>29</v>
      </c>
      <c r="C26" s="44">
        <f>+C20</f>
        <v>3274.45</v>
      </c>
      <c r="D26" s="45">
        <f>+E20/C20</f>
        <v>76.73232533707952</v>
      </c>
      <c r="E26" s="44" t="s">
        <v>55</v>
      </c>
      <c r="F26" s="5"/>
    </row>
    <row r="27" spans="1:6" ht="21" customHeight="1">
      <c r="A27" s="4" t="s">
        <v>30</v>
      </c>
      <c r="C27" s="44">
        <f>+C23</f>
        <v>3274.45</v>
      </c>
      <c r="D27" s="45">
        <f>+E23/C23</f>
        <v>76.73232533707952</v>
      </c>
      <c r="E27" s="44" t="s">
        <v>56</v>
      </c>
      <c r="F27" s="5"/>
    </row>
    <row r="28" spans="1:6" ht="15">
      <c r="A28" s="4"/>
      <c r="B28" s="5"/>
      <c r="C28" s="5"/>
      <c r="D28" s="5"/>
      <c r="E28" s="5"/>
      <c r="F28" s="5"/>
    </row>
    <row r="29" spans="1:6" ht="15">
      <c r="A29" s="4" t="s">
        <v>31</v>
      </c>
      <c r="B29" s="4"/>
      <c r="C29" s="4"/>
      <c r="D29" s="4"/>
      <c r="E29" s="4"/>
      <c r="F29" s="4"/>
    </row>
    <row r="31" spans="1:6" ht="15">
      <c r="A31" s="4" t="s">
        <v>32</v>
      </c>
      <c r="B31" s="4"/>
      <c r="C31" s="4"/>
      <c r="D31" s="4"/>
      <c r="E31" s="4"/>
      <c r="F31" s="4"/>
    </row>
    <row r="32" spans="1:2" ht="15">
      <c r="A32" s="4">
        <v>5100</v>
      </c>
      <c r="B32" s="4">
        <v>81</v>
      </c>
    </row>
    <row r="33" spans="1:2" ht="15">
      <c r="A33" s="4">
        <v>4740</v>
      </c>
      <c r="B33" s="4">
        <v>77.5</v>
      </c>
    </row>
    <row r="34" spans="1:2" ht="15">
      <c r="A34" s="10">
        <v>3800</v>
      </c>
      <c r="B34" s="4">
        <v>74</v>
      </c>
    </row>
    <row r="36" spans="1:2" ht="15">
      <c r="A36" s="4" t="s">
        <v>33</v>
      </c>
      <c r="B36" s="4"/>
    </row>
    <row r="37" spans="1:2" ht="15">
      <c r="A37" s="4">
        <v>5100</v>
      </c>
      <c r="B37" s="4">
        <v>86</v>
      </c>
    </row>
    <row r="38" spans="1:2" ht="15">
      <c r="A38" s="4">
        <v>4740</v>
      </c>
      <c r="B38" s="4">
        <v>86</v>
      </c>
    </row>
    <row r="39" spans="1:2" ht="15">
      <c r="A39" s="10">
        <v>3800</v>
      </c>
      <c r="B39" s="4">
        <v>86</v>
      </c>
    </row>
    <row r="73" ht="15.75" thickBot="1">
      <c r="B73" s="11" t="s">
        <v>34</v>
      </c>
    </row>
    <row r="74" spans="1:5" ht="15.75" thickBot="1">
      <c r="A74" s="12"/>
      <c r="B74" s="13" t="s">
        <v>35</v>
      </c>
      <c r="C74" s="14" t="s">
        <v>54</v>
      </c>
      <c r="D74" s="15" t="s">
        <v>36</v>
      </c>
      <c r="E74" s="16" t="s">
        <v>60</v>
      </c>
    </row>
    <row r="75" spans="2:3" ht="15.75" thickBot="1">
      <c r="B75" s="17" t="s">
        <v>37</v>
      </c>
      <c r="C75" s="17"/>
    </row>
    <row r="76" spans="1:8" ht="15.75" thickBot="1">
      <c r="A76" s="18" t="s">
        <v>38</v>
      </c>
      <c r="B76" s="34">
        <v>74</v>
      </c>
      <c r="C76" s="34">
        <v>3325</v>
      </c>
      <c r="D76" s="11" t="s">
        <v>39</v>
      </c>
      <c r="H76" s="19"/>
    </row>
    <row r="77" spans="1:8" ht="15.75" thickBot="1">
      <c r="A77" s="18" t="s">
        <v>40</v>
      </c>
      <c r="B77" s="34">
        <v>86</v>
      </c>
      <c r="C77" s="35">
        <f>C76</f>
        <v>3325</v>
      </c>
      <c r="D77" s="20" t="str">
        <f>"("&amp;D76&amp;")"</f>
        <v>(Min Gross)</v>
      </c>
      <c r="H77" s="19"/>
    </row>
    <row r="78" spans="1:8" ht="15.75" thickBot="1">
      <c r="A78" s="21" t="s">
        <v>41</v>
      </c>
      <c r="B78" s="35">
        <f>B77</f>
        <v>86</v>
      </c>
      <c r="C78" s="34">
        <v>5100</v>
      </c>
      <c r="D78" s="11" t="s">
        <v>42</v>
      </c>
      <c r="E78" s="22" t="s">
        <v>43</v>
      </c>
      <c r="F78" s="23"/>
      <c r="G78" s="23"/>
      <c r="H78" s="24"/>
    </row>
    <row r="79" spans="1:8" ht="15.75" thickBot="1">
      <c r="A79" s="18" t="s">
        <v>44</v>
      </c>
      <c r="B79" s="34">
        <v>86</v>
      </c>
      <c r="C79" s="34">
        <v>5100</v>
      </c>
      <c r="D79" s="11" t="s">
        <v>45</v>
      </c>
      <c r="E79" s="25">
        <f>IF(B79=B78,0,(C78-C79)/(B79-B80))</f>
        <v>0</v>
      </c>
      <c r="F79" s="26"/>
      <c r="G79" s="19"/>
      <c r="H79" s="27"/>
    </row>
    <row r="80" spans="1:8" ht="15.75" thickBot="1">
      <c r="A80" s="18" t="s">
        <v>46</v>
      </c>
      <c r="B80" s="34">
        <v>81</v>
      </c>
      <c r="C80" s="35">
        <f>C79</f>
        <v>5100</v>
      </c>
      <c r="D80" s="20" t="str">
        <f>"("&amp;D79&amp;")"</f>
        <v>(Max Gross)</v>
      </c>
      <c r="E80" s="28" t="s">
        <v>47</v>
      </c>
      <c r="F80" s="19"/>
      <c r="G80" s="19"/>
      <c r="H80" s="27"/>
    </row>
    <row r="81" spans="1:8" ht="15.75" thickBot="1">
      <c r="A81" s="18"/>
      <c r="B81" s="34">
        <v>77.5</v>
      </c>
      <c r="C81" s="35">
        <v>4740</v>
      </c>
      <c r="D81" s="20"/>
      <c r="E81" s="28"/>
      <c r="F81" s="19"/>
      <c r="G81" s="19"/>
      <c r="H81" s="27"/>
    </row>
    <row r="82" spans="1:8" ht="15.75" thickBot="1">
      <c r="A82" s="21" t="s">
        <v>48</v>
      </c>
      <c r="B82" s="35">
        <f>B76</f>
        <v>74</v>
      </c>
      <c r="C82" s="34">
        <v>3800</v>
      </c>
      <c r="D82" s="11" t="s">
        <v>49</v>
      </c>
      <c r="E82" s="29" t="s">
        <v>50</v>
      </c>
      <c r="F82" s="30"/>
      <c r="G82" s="30"/>
      <c r="H82" s="31"/>
    </row>
    <row r="83" spans="1:4" ht="15.75" thickBot="1">
      <c r="A83" s="21" t="s">
        <v>48</v>
      </c>
      <c r="B83" s="35">
        <f>B76</f>
        <v>74</v>
      </c>
      <c r="C83" s="35">
        <v>3325</v>
      </c>
      <c r="D83" s="20" t="s">
        <v>51</v>
      </c>
    </row>
    <row r="84" spans="2:3" ht="15">
      <c r="B84" s="17"/>
      <c r="C84" s="17"/>
    </row>
    <row r="85" spans="2:3" ht="15">
      <c r="B85" s="32" t="s">
        <v>52</v>
      </c>
      <c r="C85" s="33"/>
    </row>
    <row r="86" spans="2:3" ht="15">
      <c r="B86" s="37" t="s">
        <v>53</v>
      </c>
      <c r="C86" s="38"/>
    </row>
    <row r="87" spans="2:3" ht="15.75">
      <c r="B87" s="40" t="str">
        <f>IF(C20&gt;C79,"TRUE","FALSE")</f>
        <v>FALSE</v>
      </c>
      <c r="C87" s="31"/>
    </row>
  </sheetData>
  <printOptions/>
  <pageMargins left="0.5" right="0.5" top="0.5" bottom="0.5" header="0.5" footer="0.5"/>
  <pageSetup horizontalDpi="300" verticalDpi="300" orientation="portrait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52">
      <selection activeCell="E7" sqref="E7"/>
    </sheetView>
  </sheetViews>
  <sheetFormatPr defaultColWidth="8.88671875" defaultRowHeight="15"/>
  <cols>
    <col min="1" max="1" width="13.88671875" style="0" customWidth="1"/>
    <col min="2" max="2" width="5.77734375" style="0" customWidth="1"/>
    <col min="4" max="4" width="7.6640625" style="0" customWidth="1"/>
    <col min="5" max="5" width="28.5546875" style="0" customWidth="1"/>
    <col min="6" max="6" width="9.5546875" style="0" customWidth="1"/>
    <col min="7" max="7" width="6.3359375" style="0" customWidth="1"/>
    <col min="8" max="8" width="7.77734375" style="0" customWidth="1"/>
    <col min="10" max="10" width="11.21484375" style="0" customWidth="1"/>
    <col min="12" max="12" width="4.88671875" style="0" customWidth="1"/>
    <col min="13" max="13" width="5.6640625" style="0" customWidth="1"/>
  </cols>
  <sheetData>
    <row r="1" spans="1:13" ht="15">
      <c r="A1" t="s">
        <v>62</v>
      </c>
      <c r="F1" s="48" t="s">
        <v>63</v>
      </c>
      <c r="G1" s="49"/>
      <c r="H1" s="49"/>
      <c r="I1" s="49"/>
      <c r="J1" s="49"/>
      <c r="K1" s="49"/>
      <c r="L1" s="49"/>
      <c r="M1" s="50"/>
    </row>
    <row r="2" spans="1:13" ht="15">
      <c r="A2" t="s">
        <v>64</v>
      </c>
      <c r="F2" s="51" t="s">
        <v>65</v>
      </c>
      <c r="G2" s="19"/>
      <c r="H2" s="19"/>
      <c r="I2" s="19"/>
      <c r="J2" s="19"/>
      <c r="K2" s="19"/>
      <c r="L2" s="19"/>
      <c r="M2" s="52"/>
    </row>
    <row r="3" spans="1:13" ht="15">
      <c r="A3" s="53" t="s">
        <v>66</v>
      </c>
      <c r="F3" s="51" t="s">
        <v>67</v>
      </c>
      <c r="G3" s="19"/>
      <c r="H3" s="19"/>
      <c r="I3" s="19"/>
      <c r="J3" s="19"/>
      <c r="K3" s="19"/>
      <c r="L3" s="19"/>
      <c r="M3" s="52"/>
    </row>
    <row r="4" spans="1:13" ht="15">
      <c r="A4" t="s">
        <v>68</v>
      </c>
      <c r="F4" s="54" t="s">
        <v>69</v>
      </c>
      <c r="G4" s="30"/>
      <c r="H4" s="30"/>
      <c r="I4" s="30"/>
      <c r="J4" s="30"/>
      <c r="K4" s="30"/>
      <c r="L4" s="30"/>
      <c r="M4" s="55"/>
    </row>
    <row r="5" spans="1:13" ht="15">
      <c r="A5" t="s">
        <v>70</v>
      </c>
      <c r="F5" s="51" t="s">
        <v>71</v>
      </c>
      <c r="G5" s="19"/>
      <c r="H5" s="19"/>
      <c r="I5" s="19"/>
      <c r="J5" s="19"/>
      <c r="K5" s="19"/>
      <c r="L5" s="19"/>
      <c r="M5" s="52"/>
    </row>
    <row r="6" spans="1:13" ht="15">
      <c r="A6" t="s">
        <v>72</v>
      </c>
      <c r="F6" s="51" t="s">
        <v>73</v>
      </c>
      <c r="G6" s="19"/>
      <c r="H6" s="19"/>
      <c r="I6" s="19"/>
      <c r="J6" s="19"/>
      <c r="K6" s="19"/>
      <c r="L6" s="19"/>
      <c r="M6" s="52"/>
    </row>
    <row r="7" spans="1:13" ht="15">
      <c r="A7" t="s">
        <v>74</v>
      </c>
      <c r="F7" s="54" t="s">
        <v>75</v>
      </c>
      <c r="G7" s="30"/>
      <c r="H7" s="30"/>
      <c r="I7" s="30"/>
      <c r="J7" s="30"/>
      <c r="K7" s="30"/>
      <c r="L7" s="30"/>
      <c r="M7" s="55"/>
    </row>
    <row r="8" spans="2:13" ht="15">
      <c r="B8" t="s">
        <v>76</v>
      </c>
      <c r="F8" s="51" t="s">
        <v>77</v>
      </c>
      <c r="G8" s="19"/>
      <c r="H8" s="19"/>
      <c r="I8" s="19"/>
      <c r="J8" s="19"/>
      <c r="K8" s="19"/>
      <c r="L8" s="19"/>
      <c r="M8" s="52"/>
    </row>
    <row r="9" spans="2:13" ht="15">
      <c r="B9" t="s">
        <v>78</v>
      </c>
      <c r="F9" s="51" t="s">
        <v>79</v>
      </c>
      <c r="G9" s="19"/>
      <c r="H9" s="19"/>
      <c r="I9" s="19"/>
      <c r="J9" s="19"/>
      <c r="K9" s="19"/>
      <c r="L9" s="19"/>
      <c r="M9" s="52"/>
    </row>
    <row r="10" spans="2:13" ht="15">
      <c r="B10" t="s">
        <v>80</v>
      </c>
      <c r="F10" s="51" t="s">
        <v>81</v>
      </c>
      <c r="G10" s="19"/>
      <c r="H10" s="19"/>
      <c r="I10" s="19"/>
      <c r="J10" s="19"/>
      <c r="K10" s="19"/>
      <c r="L10" s="19"/>
      <c r="M10" s="52"/>
    </row>
    <row r="11" spans="2:13" ht="15">
      <c r="B11" t="s">
        <v>82</v>
      </c>
      <c r="F11" s="51" t="s">
        <v>83</v>
      </c>
      <c r="G11" s="19"/>
      <c r="H11" s="19"/>
      <c r="I11" s="19"/>
      <c r="J11" s="19"/>
      <c r="K11" s="19"/>
      <c r="L11" s="19"/>
      <c r="M11" s="52"/>
    </row>
    <row r="12" spans="2:13" ht="15">
      <c r="B12" t="s">
        <v>84</v>
      </c>
      <c r="F12" s="51"/>
      <c r="G12" s="19"/>
      <c r="H12" s="56"/>
      <c r="I12" s="19"/>
      <c r="J12" s="19"/>
      <c r="K12" s="19"/>
      <c r="L12" s="19"/>
      <c r="M12" s="52"/>
    </row>
    <row r="13" spans="2:13" ht="15">
      <c r="B13" t="s">
        <v>85</v>
      </c>
      <c r="F13" s="51" t="s">
        <v>151</v>
      </c>
      <c r="G13" s="19"/>
      <c r="H13" s="56"/>
      <c r="I13" s="19"/>
      <c r="J13" s="19"/>
      <c r="K13" s="19"/>
      <c r="L13" s="19"/>
      <c r="M13" s="52"/>
    </row>
    <row r="14" spans="2:13" ht="15.75" thickBot="1">
      <c r="B14" t="s">
        <v>86</v>
      </c>
      <c r="F14" s="57"/>
      <c r="G14" s="58"/>
      <c r="H14" s="59"/>
      <c r="I14" s="58"/>
      <c r="J14" s="58"/>
      <c r="K14" s="58"/>
      <c r="L14" s="58"/>
      <c r="M14" s="60"/>
    </row>
    <row r="15" ht="15">
      <c r="H15" s="61"/>
    </row>
    <row r="16" spans="5:6" ht="15">
      <c r="E16" t="s">
        <v>87</v>
      </c>
      <c r="F16">
        <v>0.0019812</v>
      </c>
    </row>
    <row r="17" spans="2:8" ht="15">
      <c r="B17" s="62"/>
      <c r="C17" s="19"/>
      <c r="E17" t="s">
        <v>88</v>
      </c>
      <c r="F17" s="63">
        <v>17300</v>
      </c>
      <c r="G17" t="s">
        <v>89</v>
      </c>
      <c r="H17" t="s">
        <v>90</v>
      </c>
    </row>
    <row r="18" spans="2:8" ht="15">
      <c r="B18" s="64"/>
      <c r="C18" s="19"/>
      <c r="E18" t="s">
        <v>91</v>
      </c>
      <c r="F18" s="65">
        <v>10</v>
      </c>
      <c r="G18" s="53">
        <f>5/9*(Outside_Air_Temp__F-32)</f>
        <v>-12.222222222222223</v>
      </c>
      <c r="H18" t="s">
        <v>92</v>
      </c>
    </row>
    <row r="19" spans="2:8" ht="15">
      <c r="B19" s="66"/>
      <c r="C19" s="19"/>
      <c r="E19" t="s">
        <v>93</v>
      </c>
      <c r="F19" s="67">
        <f>G18</f>
        <v>-12.222222222222223</v>
      </c>
      <c r="H19" s="68"/>
    </row>
    <row r="20" spans="2:8" ht="15">
      <c r="B20" s="66"/>
      <c r="C20" s="64"/>
      <c r="D20" s="53"/>
      <c r="E20" t="s">
        <v>94</v>
      </c>
      <c r="F20" s="67">
        <f>15-(0.0019812*Pressure_Altitude)</f>
        <v>-19.274759999999993</v>
      </c>
      <c r="G20" s="69">
        <f>F20*1.8+32</f>
        <v>-2.6945679999999896</v>
      </c>
      <c r="H20" s="53" t="s">
        <v>95</v>
      </c>
    </row>
    <row r="21" spans="2:7" ht="15">
      <c r="B21" s="70"/>
      <c r="C21" s="19"/>
      <c r="D21" s="71"/>
      <c r="E21" t="s">
        <v>96</v>
      </c>
      <c r="F21" s="72">
        <f>Pressure_Altitude+(((Standard_Temp__C+273.15)/Temp_Lapse_rate)*(1-((Standard_Temp__C+273.15)/(Outside_Air_Temp__C+273.15))^0.23498))</f>
        <v>18122.407484092866</v>
      </c>
      <c r="G21" t="s">
        <v>97</v>
      </c>
    </row>
    <row r="22" spans="2:6" ht="15">
      <c r="B22" s="73"/>
      <c r="C22" s="19"/>
      <c r="E22" t="s">
        <v>98</v>
      </c>
      <c r="F22" s="74">
        <v>165</v>
      </c>
    </row>
    <row r="23" spans="1:9" ht="15">
      <c r="A23" s="47"/>
      <c r="B23" s="73"/>
      <c r="C23" s="64"/>
      <c r="E23" t="s">
        <v>99</v>
      </c>
      <c r="F23" s="75">
        <f>Calibrated_AirSpeed/(1-6.87535*10^-6*Density_Altitude)^2.128</f>
        <v>219.0111366847938</v>
      </c>
      <c r="G23" s="76"/>
      <c r="H23" s="53">
        <f>True_AirSpeed*1.1516</f>
        <v>252.21322500620852</v>
      </c>
      <c r="I23" t="s">
        <v>100</v>
      </c>
    </row>
    <row r="24" spans="1:9" ht="15">
      <c r="A24" s="47"/>
      <c r="B24" s="77"/>
      <c r="C24" s="53"/>
      <c r="E24" t="s">
        <v>101</v>
      </c>
      <c r="F24" s="78">
        <v>17.3</v>
      </c>
      <c r="G24" s="76">
        <f>True_AirSpeed/F24</f>
        <v>12.659603276577675</v>
      </c>
      <c r="H24" s="76">
        <f>G24*1.1516</f>
        <v>14.57879913330685</v>
      </c>
      <c r="I24" t="s">
        <v>102</v>
      </c>
    </row>
    <row r="25" ht="15.75" thickBot="1">
      <c r="G25" t="s">
        <v>103</v>
      </c>
    </row>
    <row r="26" spans="1:8" ht="18" customHeight="1" thickBot="1">
      <c r="A26" s="79" t="s">
        <v>104</v>
      </c>
      <c r="B26" s="80"/>
      <c r="C26" s="80"/>
      <c r="D26" s="80"/>
      <c r="E26" s="80"/>
      <c r="F26" s="80"/>
      <c r="G26" s="80"/>
      <c r="H26" s="81" t="s">
        <v>105</v>
      </c>
    </row>
    <row r="27" spans="1:8" ht="40.5" customHeight="1" thickBot="1">
      <c r="A27" s="82" t="s">
        <v>106</v>
      </c>
      <c r="B27" s="83"/>
      <c r="C27" s="83"/>
      <c r="D27" s="83"/>
      <c r="E27" s="83"/>
      <c r="F27" s="83"/>
      <c r="G27" s="83"/>
      <c r="H27" s="84" t="s">
        <v>97</v>
      </c>
    </row>
    <row r="28" spans="1:8" ht="15">
      <c r="A28" s="85" t="s">
        <v>107</v>
      </c>
      <c r="B28" s="86"/>
      <c r="C28" s="86"/>
      <c r="D28" s="86"/>
      <c r="E28" s="86"/>
      <c r="F28" s="86"/>
      <c r="G28" s="86"/>
      <c r="H28" s="87"/>
    </row>
    <row r="29" spans="1:8" ht="15">
      <c r="A29" s="85"/>
      <c r="B29" s="86"/>
      <c r="C29" s="86"/>
      <c r="D29" s="86"/>
      <c r="E29" s="86"/>
      <c r="F29" s="86"/>
      <c r="G29" s="86"/>
      <c r="H29" s="87"/>
    </row>
    <row r="30" spans="1:8" ht="15">
      <c r="A30" s="85"/>
      <c r="B30" s="86"/>
      <c r="C30" s="86"/>
      <c r="D30" s="86"/>
      <c r="E30" s="86"/>
      <c r="F30" s="86"/>
      <c r="G30" s="86"/>
      <c r="H30" s="87"/>
    </row>
    <row r="31" spans="1:11" ht="15">
      <c r="A31" s="88" t="s">
        <v>108</v>
      </c>
      <c r="B31" s="86"/>
      <c r="C31" s="86"/>
      <c r="D31" s="86"/>
      <c r="E31" s="86"/>
      <c r="F31" s="86"/>
      <c r="G31" s="86"/>
      <c r="H31" s="86"/>
      <c r="I31" s="12"/>
      <c r="J31" s="12"/>
      <c r="K31" s="12"/>
    </row>
    <row r="32" spans="1:8" ht="15">
      <c r="A32" s="17" t="s">
        <v>109</v>
      </c>
      <c r="B32" s="12"/>
      <c r="C32" s="12"/>
      <c r="D32" s="12"/>
      <c r="E32" s="12"/>
      <c r="F32" s="12"/>
      <c r="G32" s="12"/>
      <c r="H32" s="12"/>
    </row>
    <row r="33" spans="1:10" ht="15">
      <c r="A33" s="89" t="s">
        <v>88</v>
      </c>
      <c r="B33" s="89" t="s">
        <v>110</v>
      </c>
      <c r="C33" s="90" t="s">
        <v>111</v>
      </c>
      <c r="D33" s="89" t="s">
        <v>112</v>
      </c>
      <c r="E33" s="89" t="s">
        <v>113</v>
      </c>
      <c r="F33" s="89" t="s">
        <v>114</v>
      </c>
      <c r="G33" s="89" t="s">
        <v>115</v>
      </c>
      <c r="H33" s="90" t="s">
        <v>116</v>
      </c>
      <c r="I33" s="91" t="s">
        <v>103</v>
      </c>
      <c r="J33" s="92" t="s">
        <v>117</v>
      </c>
    </row>
    <row r="34" spans="1:11" ht="15">
      <c r="A34" s="93">
        <v>6000</v>
      </c>
      <c r="B34" s="93">
        <v>14</v>
      </c>
      <c r="C34" s="94">
        <f>IF(A34&gt;0,(A34+118.6*(B34-(15-0.0019812*A34)))," ")</f>
        <v>7291.22192</v>
      </c>
      <c r="D34" s="93">
        <v>2200</v>
      </c>
      <c r="E34" s="93">
        <v>23.5</v>
      </c>
      <c r="F34" s="93">
        <v>14</v>
      </c>
      <c r="G34" s="93">
        <v>143</v>
      </c>
      <c r="H34" s="94">
        <f>IF(G34&gt;1,(G34/(1-6.87535*10^-6*C34)^2.128),"")</f>
        <v>159.53882578267556</v>
      </c>
      <c r="I34" s="95">
        <f>IF((G34&gt;0),H34/F34,"")</f>
        <v>11.395630413048254</v>
      </c>
      <c r="J34" s="96">
        <v>34500</v>
      </c>
      <c r="K34" t="s">
        <v>118</v>
      </c>
    </row>
    <row r="35" spans="1:13" ht="15">
      <c r="A35" s="93">
        <v>5500</v>
      </c>
      <c r="B35" s="97">
        <v>22</v>
      </c>
      <c r="C35" s="98">
        <f>IF(A35&gt;0,(A35+118.6*(B35-(15-0.0019812*A35)))," ")</f>
        <v>7622.53676</v>
      </c>
      <c r="D35" s="97">
        <v>2500</v>
      </c>
      <c r="E35" s="97" t="s">
        <v>119</v>
      </c>
      <c r="F35" s="97">
        <v>13.7</v>
      </c>
      <c r="G35" s="97">
        <v>153</v>
      </c>
      <c r="H35" s="94">
        <f>IF(G35&gt;1,(G35/(1-6.87535*10^-6*C35)^2.128),"")</f>
        <v>171.56975857608887</v>
      </c>
      <c r="I35" s="99">
        <f>IF((G35&gt;0),H35/F35,"")</f>
        <v>12.523340042050283</v>
      </c>
      <c r="J35" s="100">
        <v>37509</v>
      </c>
      <c r="K35" t="s">
        <v>120</v>
      </c>
      <c r="L35" t="s">
        <v>121</v>
      </c>
      <c r="M35" t="s">
        <v>122</v>
      </c>
    </row>
    <row r="36" ht="15">
      <c r="D36" s="101" t="s">
        <v>123</v>
      </c>
    </row>
    <row r="37" ht="15.75">
      <c r="A37" s="102" t="s">
        <v>124</v>
      </c>
    </row>
    <row r="38" spans="5:6" ht="15">
      <c r="E38" t="s">
        <v>87</v>
      </c>
      <c r="F38">
        <v>0.0019812</v>
      </c>
    </row>
    <row r="39" spans="5:8" ht="15">
      <c r="E39" t="s">
        <v>88</v>
      </c>
      <c r="F39" s="63">
        <v>4500</v>
      </c>
      <c r="G39" t="s">
        <v>125</v>
      </c>
      <c r="H39" s="71" t="s">
        <v>126</v>
      </c>
    </row>
    <row r="40" spans="5:8" ht="15">
      <c r="E40" t="s">
        <v>91</v>
      </c>
      <c r="F40" s="65">
        <v>50</v>
      </c>
      <c r="G40" t="s">
        <v>125</v>
      </c>
      <c r="H40" s="71" t="s">
        <v>126</v>
      </c>
    </row>
    <row r="41" spans="5:7" ht="15">
      <c r="E41" t="s">
        <v>93</v>
      </c>
      <c r="F41" s="67">
        <f>5/9*(F40-32)</f>
        <v>10</v>
      </c>
      <c r="G41" t="s">
        <v>127</v>
      </c>
    </row>
    <row r="42" spans="5:7" ht="15">
      <c r="E42" t="s">
        <v>128</v>
      </c>
      <c r="F42" s="67">
        <f>15-(0.0019812*F39)</f>
        <v>6.0846</v>
      </c>
      <c r="G42" t="s">
        <v>127</v>
      </c>
    </row>
    <row r="43" spans="5:7" ht="15">
      <c r="E43" t="s">
        <v>96</v>
      </c>
      <c r="F43" s="72">
        <f>F39+(((F42+273.15)/F38)*(1-((F42+273.15)/(F41+273.15))^0.23498))</f>
        <v>4960.406273592952</v>
      </c>
      <c r="G43" t="s">
        <v>127</v>
      </c>
    </row>
    <row r="44" spans="5:8" ht="15">
      <c r="E44" t="s">
        <v>98</v>
      </c>
      <c r="F44" s="74">
        <v>180</v>
      </c>
      <c r="G44" t="s">
        <v>125</v>
      </c>
      <c r="H44" s="71" t="s">
        <v>126</v>
      </c>
    </row>
    <row r="45" spans="5:7" ht="15">
      <c r="E45" t="s">
        <v>129</v>
      </c>
      <c r="F45" s="103">
        <f>F44/(1-6.87535*10^-6*F43)^2.128</f>
        <v>193.7943848711054</v>
      </c>
      <c r="G45" t="s">
        <v>127</v>
      </c>
    </row>
    <row r="46" spans="1:3" ht="15.75">
      <c r="A46" s="102" t="s">
        <v>130</v>
      </c>
      <c r="C46" s="102"/>
    </row>
    <row r="47" spans="4:5" ht="15.75">
      <c r="D47" s="102"/>
      <c r="E47" t="s">
        <v>131</v>
      </c>
    </row>
    <row r="48" ht="15">
      <c r="C48" t="s">
        <v>132</v>
      </c>
    </row>
    <row r="49" spans="3:6" ht="15">
      <c r="C49" t="s">
        <v>132</v>
      </c>
      <c r="E49" t="s">
        <v>133</v>
      </c>
      <c r="F49">
        <v>300</v>
      </c>
    </row>
    <row r="50" spans="3:6" ht="15">
      <c r="C50" t="s">
        <v>132</v>
      </c>
      <c r="E50" t="s">
        <v>134</v>
      </c>
      <c r="F50">
        <v>2700</v>
      </c>
    </row>
    <row r="51" spans="5:6" ht="15">
      <c r="E51" t="s">
        <v>135</v>
      </c>
      <c r="F51">
        <v>25</v>
      </c>
    </row>
    <row r="52" spans="4:8" ht="15">
      <c r="D52" t="s">
        <v>136</v>
      </c>
      <c r="E52" t="s">
        <v>137</v>
      </c>
      <c r="F52" s="74">
        <v>2500</v>
      </c>
      <c r="G52" t="s">
        <v>125</v>
      </c>
      <c r="H52" s="71" t="s">
        <v>126</v>
      </c>
    </row>
    <row r="53" spans="4:8" ht="15">
      <c r="D53" t="s">
        <v>136</v>
      </c>
      <c r="E53" t="s">
        <v>138</v>
      </c>
      <c r="F53" s="74">
        <v>29.5</v>
      </c>
      <c r="G53" t="s">
        <v>125</v>
      </c>
      <c r="H53" s="71" t="s">
        <v>126</v>
      </c>
    </row>
    <row r="54" spans="4:6" ht="15">
      <c r="D54" t="s">
        <v>139</v>
      </c>
      <c r="E54" t="s">
        <v>140</v>
      </c>
      <c r="F54" s="101">
        <f>100-((F50/100-F52/100)*2.5+(F53-F51)*3.5)</f>
        <v>79.25</v>
      </c>
    </row>
    <row r="55" spans="4:6" ht="15">
      <c r="D55" t="s">
        <v>139</v>
      </c>
      <c r="E55" t="s">
        <v>141</v>
      </c>
      <c r="F55" s="101">
        <f>(F54*F49)/100</f>
        <v>237.75</v>
      </c>
    </row>
    <row r="56" ht="15.75">
      <c r="A56" s="102" t="s">
        <v>130</v>
      </c>
    </row>
    <row r="57" ht="15">
      <c r="E57" t="s">
        <v>142</v>
      </c>
    </row>
    <row r="58" ht="15">
      <c r="E58" t="s">
        <v>143</v>
      </c>
    </row>
    <row r="59" spans="1:3" ht="15.75">
      <c r="A59" s="102" t="s">
        <v>144</v>
      </c>
      <c r="C59" s="102"/>
    </row>
    <row r="60" ht="15.75">
      <c r="D60" s="102"/>
    </row>
    <row r="61" spans="5:6" ht="15">
      <c r="E61" t="s">
        <v>87</v>
      </c>
      <c r="F61">
        <v>0.0019812</v>
      </c>
    </row>
    <row r="62" spans="5:7" ht="15">
      <c r="E62" t="s">
        <v>88</v>
      </c>
      <c r="F62" s="74">
        <v>4500</v>
      </c>
      <c r="G62" t="s">
        <v>145</v>
      </c>
    </row>
    <row r="63" spans="5:7" ht="15">
      <c r="E63" t="s">
        <v>93</v>
      </c>
      <c r="F63" s="74">
        <v>10</v>
      </c>
      <c r="G63" t="s">
        <v>146</v>
      </c>
    </row>
    <row r="64" spans="5:7" ht="15">
      <c r="E64" t="s">
        <v>99</v>
      </c>
      <c r="F64" s="74">
        <v>194</v>
      </c>
      <c r="G64" t="s">
        <v>147</v>
      </c>
    </row>
    <row r="65" spans="5:8" ht="15">
      <c r="E65" t="s">
        <v>148</v>
      </c>
      <c r="F65" s="67">
        <f>15-(0.0019812*F62)</f>
        <v>6.0846</v>
      </c>
      <c r="G65" t="s">
        <v>89</v>
      </c>
      <c r="H65" t="s">
        <v>127</v>
      </c>
    </row>
    <row r="66" spans="5:8" ht="15">
      <c r="E66" t="s">
        <v>96</v>
      </c>
      <c r="F66" s="67">
        <f>F62+(((F65+273.15)/0.0019812)*(1-((F65+273.15)/(F63+273.15))^0.23498))</f>
        <v>4960.406273592952</v>
      </c>
      <c r="G66" t="s">
        <v>89</v>
      </c>
      <c r="H66" t="s">
        <v>127</v>
      </c>
    </row>
    <row r="67" spans="5:8" ht="15">
      <c r="E67" t="s">
        <v>98</v>
      </c>
      <c r="F67" s="103">
        <f>F64*((1-6.87535*10^-6*F66)^2.128)</f>
        <v>180.19097933733036</v>
      </c>
      <c r="G67" t="s">
        <v>89</v>
      </c>
      <c r="H67" t="s">
        <v>127</v>
      </c>
    </row>
    <row r="70" spans="11:12" ht="15">
      <c r="K70" s="104"/>
      <c r="L70" s="10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Caban</dc:creator>
  <cp:keywords/>
  <dc:description/>
  <cp:lastModifiedBy>Mike Caban</cp:lastModifiedBy>
  <dcterms:created xsi:type="dcterms:W3CDTF">1998-06-25T22:34:44Z</dcterms:created>
  <dcterms:modified xsi:type="dcterms:W3CDTF">2009-01-30T03:34:59Z</dcterms:modified>
  <cp:category/>
  <cp:version/>
  <cp:contentType/>
  <cp:contentStatus/>
</cp:coreProperties>
</file>